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<sst xmlns="http://schemas.openxmlformats.org/spreadsheetml/2006/main" count="111" uniqueCount="67">
  <si>
    <t>比較対照表</t>
  </si>
  <si>
    <t>データセット</t>
  </si>
  <si>
    <t>クエリ</t>
  </si>
  <si>
    <t>平均課金額 (USD) *1 *2</t>
  </si>
  <si>
    <t>平均応答時間 (ms) *2 *3</t>
  </si>
  <si>
    <t>コストパフォーマンス指数 (1/USD･ms) *2 *4</t>
  </si>
  <si>
    <t>BigQuery
容量コンピューティング</t>
  </si>
  <si>
    <t>BigQuery
オンデマンド (参考)</t>
  </si>
  <si>
    <t>Redshift Serverless</t>
  </si>
  <si>
    <t>差</t>
  </si>
  <si>
    <t>比</t>
  </si>
  <si>
    <t>BigQuery</t>
  </si>
  <si>
    <t>小規模構造化データ</t>
  </si>
  <si>
    <t>1-1. 単純集計</t>
  </si>
  <si>
    <t>1-2. 集計+ウィンドウ関数</t>
  </si>
  <si>
    <t>1-3. ウィンドウ関数+CTE+集計</t>
  </si>
  <si>
    <t>中規模半構造化データ</t>
  </si>
  <si>
    <t>2-1. CTE+集計</t>
  </si>
  <si>
    <t>2-2. JOIN+集計</t>
  </si>
  <si>
    <t>2-3. ウィンドウ関数集計+CTE+JOIN</t>
  </si>
  <si>
    <t>測定記録表</t>
  </si>
  <si>
    <t>課金額 (USD)</t>
  </si>
  <si>
    <t>応答時間 (ms)</t>
  </si>
  <si>
    <t>Redshift Serverless
ベースRPU</t>
  </si>
  <si>
    <t>BigQuery 参考情報</t>
  </si>
  <si>
    <t>BigQuery 容量コンピューティング</t>
  </si>
  <si>
    <t>スロット数</t>
  </si>
  <si>
    <t>オンデマンド</t>
  </si>
  <si>
    <t>1回目 (除外)</t>
  </si>
  <si>
    <t>2回目</t>
  </si>
  <si>
    <t>3回目</t>
  </si>
  <si>
    <t>4回目</t>
  </si>
  <si>
    <t>5回目</t>
  </si>
  <si>
    <t>平均 *5</t>
  </si>
  <si>
    <t>処理容量(TiB)</t>
  </si>
  <si>
    <t>課金額の計算</t>
  </si>
  <si>
    <t>サービス</t>
  </si>
  <si>
    <t>課金方式</t>
  </si>
  <si>
    <t>課金方式の出典 *6</t>
  </si>
  <si>
    <t>計算方法</t>
  </si>
  <si>
    <t>(Standard Edition・東京)
1スロット・1時間あたり0.051USD。
一度スロットが確保されると、1分未満しか処理を行わなくても
最低1分間分の料金が発生する。
スロットは事前予約する。</t>
  </si>
  <si>
    <t>https://cloud.google.com/bigquery/pricing?hl=ja</t>
  </si>
  <si>
    <t>処理に費やした合計スロットミリ秒に 0.051 を掛け、
1000 * 60 * 60 で割った。
予約は無視し、スロット数が制約なく自動スケーリングするものとした。
最低課金時間は無視し、すべてミリ秒数に基づいて算出した。</t>
  </si>
  <si>
    <t>BigQuery オンデマンド</t>
  </si>
  <si>
    <t>(東京)
処理データ1TiBあたり7.5USD。
MB単位(端数切り上げ)で計算され、10MB未満しか処理しなくても
最低10MB分の料金が発生する。
毎月最初の1TiBまでは無料。</t>
  </si>
  <si>
    <t>処理データ容量(バイト)に2の-40乗を掛け、7.5を掛けた。
月ごとの無料枠は無視した。</t>
  </si>
  <si>
    <t>(東京)
1RPU・1時間あたり0.494USD。
一度RPUが確保されると、1分未満しか処理を行わなくても
最低1分間分の料金が発生する。</t>
  </si>
  <si>
    <t>https://aws.amazon.com/jp/redshift/pricing/</t>
  </si>
  <si>
    <t>応答時間(ミリ秒)にRPU数を掛け、0.494を掛けて、
1000 * 60 * 60 で割った。
最低課金時間は無視し、すべてミリ秒数に基づいて算出した。</t>
  </si>
  <si>
    <t>(参考)
料金ベースでは、1スロットは約9.7RPUに相当する。</t>
  </si>
  <si>
    <t>注</t>
  </si>
  <si>
    <t>*1 各値は、測定記録の平均値を有効数字2桁で四捨五入したものです。</t>
  </si>
  <si>
    <t>*2 「差」は「BigQuery」（容量コンピューティング）の平均値から、「Redshift Serverless」の平均値を引き、有効数字2桁で四捨五入したものです。</t>
  </si>
  <si>
    <t>「比」は「Redshift Serverless」の平均値を「BigQuery」（容量コンピューティング）の平均値で割り、有効数字2桁で四捨五入したものです。</t>
  </si>
  <si>
    <r>
      <rPr>
        <rFont val="Arial"/>
        <color theme="1"/>
      </rPr>
      <t xml:space="preserve">いずれも </t>
    </r>
    <r>
      <rPr>
        <rFont val="Arial"/>
        <color rgb="FF4285F4"/>
      </rPr>
      <t>BigQuery が有利な場合は青色で、</t>
    </r>
    <r>
      <rPr>
        <rFont val="Arial"/>
        <color theme="1"/>
      </rPr>
      <t xml:space="preserve"> </t>
    </r>
    <r>
      <rPr>
        <rFont val="Arial"/>
        <color rgb="FFEA4335"/>
      </rPr>
      <t>Redshift Serverless が有利な場合は赤色で</t>
    </r>
    <r>
      <rPr>
        <rFont val="Arial"/>
        <color theme="1"/>
      </rPr>
      <t>表現しています。</t>
    </r>
  </si>
  <si>
    <t>*3 各値は、測定記録の平均値の小数第1位を四捨五入したものです。</t>
  </si>
  <si>
    <t>*4 平均課金額に平均応答時間を掛けたものの逆数を、有効数字2桁で四捨五入した独自指標です。数値が大きいほどコストパフォーマンスが高いことを示します。直感的には、平均応答時間の逆数をパフォーマンスと捉え、それをコストで割ったと考えられます。</t>
  </si>
  <si>
    <t>列方向に（DWHごとに）見ると、数値が大きいほど「そのDWHにとって簡単なクエリであること」を示します。</t>
  </si>
  <si>
    <t>行方向に（クエリごとに）見ると、数値が大きいほど「そのクエリに向いたDWHであること」を示します。「比」は BigQuery（容量コンピューティング）が Redshift Serverless より何倍程度そのクエリに「向いて」いるかの目安です。</t>
  </si>
  <si>
    <t>*5 小数第1位を四捨五入したものです。</t>
  </si>
  <si>
    <t>*6 いずれも2024年10月31日閲覧。</t>
  </si>
  <si>
    <t>注意事項</t>
  </si>
  <si>
    <r>
      <rPr/>
      <t>本スプレッドシートは、アクセルユニバース株式会社のブログ記事</t>
    </r>
    <r>
      <rPr>
        <color rgb="FF1155CC"/>
        <u/>
      </rPr>
      <t>『「コスパならBigQuery」？実験で比較してみた【Redshift vs. BigQuery】』</t>
    </r>
    <r>
      <rPr/>
      <t>に付属するものです。</t>
    </r>
  </si>
  <si>
    <t>測定は、2024年9月27日・同30日に行いました。</t>
  </si>
  <si>
    <t>結果の再現性を保証するものではありません。</t>
  </si>
  <si>
    <t>課金方式・仕様等の情報は、記事公開時点に作成者が確認したものに基づいています。ご利用に際しては、AWS・Google Cloud の公式から発表されている最新の情報をご確認ください。</t>
  </si>
  <si>
    <t>その他の詳細について、記事本文に記していますので、ご一読ください。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</si>
</sst>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sz val="10.0"/>
      <color theme="1"/>
      <name val="Arial"/>
      <scheme val="minor"/>
    </font>
    <font>
      <color theme="1"/>
      <name val="Arial"/>
    </font>
    <font>
      <u/>
      <color rgb="FF0000FF"/>
      <name val="Arial"/>
    </font>
    <font>
      <u/>
      <color rgb="FF0000FF"/>
      <name val="Arial"/>
    </font>
    <font>
      <u/>
      <color rgb="FF0000FF"/>
      <name val="Arial"/>
    </font>
    <font>
      <sz val="10.0"/>
      <color rgb="FF1F1F1F"/>
      <name val="Arial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B7E1CD"/>
        <bgColor rgb="FFB7E1CD"/>
      </patternFill>
    </fill>
  </fills>
  <borders count="30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 readingOrder="0"/>
    </xf>
    <xf borderId="1" fillId="2" fontId="2" numFmtId="0" xfId="0" applyAlignment="1" applyBorder="1" applyFill="1" applyFont="1">
      <alignment horizontal="center" readingOrder="0"/>
    </xf>
    <xf borderId="2" fillId="2" fontId="2" numFmtId="0" xfId="0" applyAlignment="1" applyBorder="1" applyFont="1">
      <alignment horizontal="center" readingOrder="0"/>
    </xf>
    <xf borderId="2" fillId="0" fontId="3" numFmtId="0" xfId="0" applyBorder="1" applyFont="1"/>
    <xf borderId="3" fillId="2" fontId="2" numFmtId="0" xfId="0" applyAlignment="1" applyBorder="1" applyFont="1">
      <alignment horizontal="center" readingOrder="0"/>
    </xf>
    <xf borderId="4" fillId="0" fontId="3" numFmtId="0" xfId="0" applyBorder="1" applyFont="1"/>
    <xf borderId="2" fillId="2" fontId="4" numFmtId="11" xfId="0" applyAlignment="1" applyBorder="1" applyFont="1" applyNumberFormat="1">
      <alignment horizontal="center" readingOrder="0" vertical="top"/>
    </xf>
    <xf borderId="5" fillId="0" fontId="3" numFmtId="0" xfId="0" applyBorder="1" applyFont="1"/>
    <xf borderId="6" fillId="2" fontId="2" numFmtId="0" xfId="0" applyAlignment="1" applyBorder="1" applyFont="1">
      <alignment horizontal="center" readingOrder="0"/>
    </xf>
    <xf borderId="7" fillId="2" fontId="2" numFmtId="0" xfId="0" applyAlignment="1" applyBorder="1" applyFont="1">
      <alignment horizontal="center" readingOrder="0"/>
    </xf>
    <xf borderId="8" fillId="2" fontId="2" numFmtId="0" xfId="0" applyAlignment="1" applyBorder="1" applyFont="1">
      <alignment horizontal="center" readingOrder="0"/>
    </xf>
    <xf borderId="0" fillId="0" fontId="2" numFmtId="0" xfId="0" applyAlignment="1" applyFont="1">
      <alignment readingOrder="0"/>
    </xf>
    <xf borderId="9" fillId="0" fontId="2" numFmtId="0" xfId="0" applyAlignment="1" applyBorder="1" applyFont="1">
      <alignment readingOrder="0"/>
    </xf>
    <xf borderId="0" fillId="0" fontId="2" numFmtId="0" xfId="0" applyFont="1"/>
    <xf borderId="10" fillId="0" fontId="2" numFmtId="0" xfId="0" applyBorder="1" applyFont="1"/>
    <xf borderId="9" fillId="0" fontId="3" numFmtId="0" xfId="0" applyBorder="1" applyFont="1"/>
    <xf borderId="11" fillId="0" fontId="3" numFmtId="0" xfId="0" applyBorder="1" applyFont="1"/>
    <xf borderId="11" fillId="0" fontId="2" numFmtId="0" xfId="0" applyAlignment="1" applyBorder="1" applyFont="1">
      <alignment readingOrder="0"/>
    </xf>
    <xf borderId="12" fillId="0" fontId="2" numFmtId="0" xfId="0" applyBorder="1" applyFont="1"/>
    <xf borderId="13" fillId="0" fontId="2" numFmtId="0" xfId="0" applyBorder="1" applyFont="1"/>
    <xf borderId="5" fillId="0" fontId="2" numFmtId="0" xfId="0" applyAlignment="1" applyBorder="1" applyFont="1">
      <alignment readingOrder="0"/>
    </xf>
    <xf borderId="6" fillId="0" fontId="2" numFmtId="0" xfId="0" applyBorder="1" applyFont="1"/>
    <xf borderId="8" fillId="0" fontId="2" numFmtId="0" xfId="0" applyBorder="1" applyFont="1"/>
    <xf borderId="0" fillId="0" fontId="1" numFmtId="0" xfId="0" applyAlignment="1" applyFont="1">
      <alignment readingOrder="0"/>
    </xf>
    <xf borderId="14" fillId="2" fontId="2" numFmtId="0" xfId="0" applyAlignment="1" applyBorder="1" applyFont="1">
      <alignment horizontal="center" readingOrder="0"/>
    </xf>
    <xf borderId="15" fillId="0" fontId="3" numFmtId="0" xfId="0" applyBorder="1" applyFont="1"/>
    <xf borderId="15" fillId="2" fontId="2" numFmtId="0" xfId="0" applyAlignment="1" applyBorder="1" applyFont="1">
      <alignment horizontal="center" readingOrder="0"/>
    </xf>
    <xf borderId="16" fillId="0" fontId="3" numFmtId="0" xfId="0" applyBorder="1" applyFont="1"/>
    <xf borderId="0" fillId="2" fontId="2" numFmtId="0" xfId="0" applyAlignment="1" applyFont="1">
      <alignment horizontal="center" readingOrder="0"/>
    </xf>
    <xf borderId="10" fillId="0" fontId="3" numFmtId="0" xfId="0" applyBorder="1" applyFont="1"/>
    <xf borderId="12" fillId="2" fontId="2" numFmtId="0" xfId="0" applyAlignment="1" applyBorder="1" applyFont="1">
      <alignment horizontal="center" readingOrder="0"/>
    </xf>
    <xf borderId="13" fillId="0" fontId="3" numFmtId="0" xfId="0" applyBorder="1" applyFont="1"/>
    <xf borderId="7" fillId="0" fontId="3" numFmtId="0" xfId="0" applyBorder="1" applyFont="1"/>
    <xf borderId="17" fillId="2" fontId="2" numFmtId="0" xfId="0" applyAlignment="1" applyBorder="1" applyFont="1">
      <alignment horizontal="center" readingOrder="0"/>
    </xf>
    <xf borderId="18" fillId="2" fontId="2" numFmtId="0" xfId="0" applyAlignment="1" applyBorder="1" applyFont="1">
      <alignment horizontal="center" readingOrder="0"/>
    </xf>
    <xf borderId="19" fillId="2" fontId="2" numFmtId="0" xfId="0" applyAlignment="1" applyBorder="1" applyFont="1">
      <alignment horizontal="center" readingOrder="0"/>
    </xf>
    <xf borderId="20" fillId="2" fontId="2" numFmtId="0" xfId="0" applyAlignment="1" applyBorder="1" applyFont="1">
      <alignment horizontal="center" readingOrder="0"/>
    </xf>
    <xf borderId="21" fillId="2" fontId="2" numFmtId="0" xfId="0" applyAlignment="1" applyBorder="1" applyFont="1">
      <alignment horizontal="center" readingOrder="0"/>
    </xf>
    <xf borderId="15" fillId="0" fontId="2" numFmtId="0" xfId="0" applyAlignment="1" applyBorder="1" applyFont="1">
      <alignment readingOrder="0"/>
    </xf>
    <xf borderId="16" fillId="0" fontId="2" numFmtId="0" xfId="0" applyAlignment="1" applyBorder="1" applyFont="1">
      <alignment readingOrder="0"/>
    </xf>
    <xf borderId="10" fillId="0" fontId="2" numFmtId="0" xfId="0" applyAlignment="1" applyBorder="1" applyFont="1">
      <alignment readingOrder="0"/>
    </xf>
    <xf borderId="22" fillId="0" fontId="2" numFmtId="0" xfId="0" applyAlignment="1" applyBorder="1" applyFont="1">
      <alignment readingOrder="0"/>
    </xf>
    <xf borderId="12" fillId="0" fontId="2" numFmtId="0" xfId="0" applyAlignment="1" applyBorder="1" applyFont="1">
      <alignment readingOrder="0"/>
    </xf>
    <xf borderId="23" fillId="0" fontId="2" numFmtId="0" xfId="0" applyAlignment="1" applyBorder="1" applyFont="1">
      <alignment readingOrder="0"/>
    </xf>
    <xf borderId="13" fillId="0" fontId="2" numFmtId="0" xfId="0" applyAlignment="1" applyBorder="1" applyFont="1">
      <alignment readingOrder="0"/>
    </xf>
    <xf borderId="7" fillId="0" fontId="2" numFmtId="0" xfId="0" applyAlignment="1" applyBorder="1" applyFont="1">
      <alignment readingOrder="0"/>
    </xf>
    <xf borderId="6" fillId="0" fontId="2" numFmtId="0" xfId="0" applyAlignment="1" applyBorder="1" applyFont="1">
      <alignment readingOrder="0"/>
    </xf>
    <xf borderId="21" fillId="0" fontId="2" numFmtId="0" xfId="0" applyAlignment="1" applyBorder="1" applyFont="1">
      <alignment readingOrder="0"/>
    </xf>
    <xf borderId="8" fillId="0" fontId="2" numFmtId="0" xfId="0" applyAlignment="1" applyBorder="1" applyFont="1">
      <alignment readingOrder="0"/>
    </xf>
    <xf borderId="24" fillId="2" fontId="2" numFmtId="0" xfId="0" applyAlignment="1" applyBorder="1" applyFont="1">
      <alignment horizontal="center" readingOrder="0"/>
    </xf>
    <xf borderId="25" fillId="2" fontId="2" numFmtId="0" xfId="0" applyAlignment="1" applyBorder="1" applyFont="1">
      <alignment horizontal="center" readingOrder="0"/>
    </xf>
    <xf borderId="26" fillId="0" fontId="3" numFmtId="0" xfId="0" applyBorder="1" applyFont="1"/>
    <xf borderId="25" fillId="2" fontId="5" numFmtId="0" xfId="0" applyAlignment="1" applyBorder="1" applyFont="1">
      <alignment horizontal="center" readingOrder="0" vertical="bottom"/>
    </xf>
    <xf borderId="25" fillId="2" fontId="5" numFmtId="0" xfId="0" applyAlignment="1" applyBorder="1" applyFont="1">
      <alignment horizontal="center" vertical="bottom"/>
    </xf>
    <xf borderId="25" fillId="0" fontId="3" numFmtId="0" xfId="0" applyBorder="1" applyFont="1"/>
    <xf borderId="0" fillId="0" fontId="6" numFmtId="0" xfId="0" applyAlignment="1" applyFont="1">
      <alignment readingOrder="0" vertical="bottom"/>
    </xf>
    <xf borderId="0" fillId="0" fontId="5" numFmtId="0" xfId="0" applyAlignment="1" applyFont="1">
      <alignment readingOrder="0" vertical="bottom"/>
    </xf>
    <xf borderId="27" fillId="0" fontId="2" numFmtId="0" xfId="0" applyAlignment="1" applyBorder="1" applyFont="1">
      <alignment readingOrder="0"/>
    </xf>
    <xf borderId="28" fillId="0" fontId="2" numFmtId="0" xfId="0" applyAlignment="1" applyBorder="1" applyFont="1">
      <alignment readingOrder="0"/>
    </xf>
    <xf borderId="29" fillId="0" fontId="3" numFmtId="0" xfId="0" applyBorder="1" applyFont="1"/>
    <xf borderId="28" fillId="0" fontId="7" numFmtId="0" xfId="0" applyAlignment="1" applyBorder="1" applyFont="1">
      <alignment readingOrder="0" vertical="bottom"/>
    </xf>
    <xf borderId="28" fillId="0" fontId="5" numFmtId="0" xfId="0" applyAlignment="1" applyBorder="1" applyFont="1">
      <alignment vertical="bottom"/>
    </xf>
    <xf borderId="28" fillId="0" fontId="3" numFmtId="0" xfId="0" applyBorder="1" applyFont="1"/>
    <xf borderId="8" fillId="0" fontId="3" numFmtId="0" xfId="0" applyBorder="1" applyFont="1"/>
    <xf borderId="6" fillId="0" fontId="8" numFmtId="0" xfId="0" applyAlignment="1" applyBorder="1" applyFont="1">
      <alignment readingOrder="0" vertical="bottom"/>
    </xf>
    <xf borderId="6" fillId="0" fontId="5" numFmtId="0" xfId="0" applyAlignment="1" applyBorder="1" applyFont="1">
      <alignment vertical="bottom"/>
    </xf>
    <xf borderId="6" fillId="0" fontId="3" numFmtId="0" xfId="0" applyBorder="1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>
        <color rgb="FFEA4335"/>
      </font>
      <fill>
        <patternFill patternType="none"/>
      </fill>
      <border/>
    </dxf>
    <dxf>
      <font>
        <color rgb="FF4285F4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loud.google.com/bigquery/pricing?hl=ja" TargetMode="External"/><Relationship Id="rId2" Type="http://schemas.openxmlformats.org/officeDocument/2006/relationships/hyperlink" Target="https://cloud.google.com/bigquery/pricing?hl=ja" TargetMode="External"/><Relationship Id="rId3" Type="http://schemas.openxmlformats.org/officeDocument/2006/relationships/hyperlink" Target="https://aws.amazon.com/jp/redshift/pricing/" TargetMode="External"/><Relationship Id="rId4" Type="http://schemas.openxmlformats.org/officeDocument/2006/relationships/hyperlink" Target="https://www.acceluniverse.com/blog/developers/2024/10/redshift-bigquery-cost-performance.html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63"/>
    <col customWidth="1" min="2" max="2" width="18.88"/>
    <col customWidth="1" min="3" max="3" width="31.38"/>
    <col customWidth="1" min="4" max="32" width="18.8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>
      <c r="A2" s="4"/>
      <c r="B2" s="5" t="s">
        <v>1</v>
      </c>
      <c r="C2" s="5" t="s">
        <v>2</v>
      </c>
      <c r="D2" s="6" t="s">
        <v>3</v>
      </c>
      <c r="E2" s="7"/>
      <c r="F2" s="7"/>
      <c r="G2" s="7"/>
      <c r="H2" s="7"/>
      <c r="I2" s="8" t="s">
        <v>4</v>
      </c>
      <c r="J2" s="7"/>
      <c r="K2" s="7"/>
      <c r="L2" s="9"/>
      <c r="M2" s="10" t="s">
        <v>5</v>
      </c>
      <c r="N2" s="7"/>
      <c r="O2" s="7"/>
      <c r="P2" s="9"/>
    </row>
    <row r="3">
      <c r="A3" s="4"/>
      <c r="B3" s="11"/>
      <c r="C3" s="11"/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3" t="s">
        <v>11</v>
      </c>
      <c r="J3" s="12" t="s">
        <v>8</v>
      </c>
      <c r="K3" s="12" t="s">
        <v>9</v>
      </c>
      <c r="L3" s="14" t="s">
        <v>10</v>
      </c>
      <c r="M3" s="12" t="s">
        <v>6</v>
      </c>
      <c r="N3" s="12" t="s">
        <v>7</v>
      </c>
      <c r="O3" s="12" t="s">
        <v>8</v>
      </c>
      <c r="P3" s="14" t="s">
        <v>10</v>
      </c>
    </row>
    <row r="4">
      <c r="A4" s="15"/>
      <c r="B4" s="16" t="s">
        <v>12</v>
      </c>
      <c r="C4" s="16" t="s">
        <v>13</v>
      </c>
      <c r="D4" s="17">
        <f>ROUND(AVERAGE(E15:H15), 5)</f>
        <v>0.00097</v>
      </c>
      <c r="E4" s="17">
        <f t="shared" ref="E4:E5" si="1">ROUND(AE15, 3)</f>
        <v>0.012</v>
      </c>
      <c r="F4" s="17">
        <f>ROUND(AVERAGE(J15:M15),6)</f>
        <v>0.000075</v>
      </c>
      <c r="G4" s="17">
        <f>ROUND(AVERAGE(E15:H15)-AVERAGE(J15:M15),5)</f>
        <v>0.00089</v>
      </c>
      <c r="H4" s="18">
        <f>ROUND(AVERAGE(J15:M15)/AVERAGE(E15:H15), 3)</f>
        <v>0.078</v>
      </c>
      <c r="I4" s="17">
        <f t="shared" ref="I4:I9" si="2">ROUND(AVERAGE(O15:R15),0)</f>
        <v>425</v>
      </c>
      <c r="J4" s="17">
        <f t="shared" ref="J4:J9" si="3">ROUND(AVERAGE(T15:W15),0)</f>
        <v>68</v>
      </c>
      <c r="K4" s="17">
        <f t="shared" ref="K4:K9" si="4">ROUND(AVERAGE(O15:R15)-AVERAGE(T15:W15),0)</f>
        <v>356</v>
      </c>
      <c r="L4" s="18">
        <f>ROUND(AVERAGE($T$15:$W$15)/AVERAGE(O15:R15), 2)</f>
        <v>0.16</v>
      </c>
      <c r="M4" s="17">
        <f>ROUND(1/(AVERAGE(E15:H15)*AVERAGE(O15:R15)),1)</f>
        <v>2.4</v>
      </c>
      <c r="N4" s="17">
        <f>ROUND(1/(AE15*AVERAGE(O15:R15)),2)</f>
        <v>0.2</v>
      </c>
      <c r="O4" s="17">
        <f>ROUND(1/(AVERAGE(J15:M15)*AVERAGE(T15:W15)),-1)</f>
        <v>200</v>
      </c>
      <c r="P4" s="18">
        <f>ROUND((AVERAGE(J15:M15)*AVERAGE(T15:W15))/(AVERAGE(E15:H15)*AVERAGE(O15:R15)),3)</f>
        <v>0.012</v>
      </c>
    </row>
    <row r="5">
      <c r="A5" s="15"/>
      <c r="B5" s="19"/>
      <c r="C5" s="16" t="s">
        <v>14</v>
      </c>
      <c r="D5" s="17">
        <f>ROUND(AVERAGE(E16:H16),3)</f>
        <v>0.029</v>
      </c>
      <c r="E5" s="17">
        <f t="shared" si="1"/>
        <v>0.26</v>
      </c>
      <c r="F5" s="17">
        <f>ROUND(AVERAGE(J16:M16),3)</f>
        <v>0.053</v>
      </c>
      <c r="G5" s="17">
        <f>ROUND(AVERAGE(E16:H16)-AVERAGE(J16:M16),3)</f>
        <v>-0.023</v>
      </c>
      <c r="H5" s="18">
        <f t="shared" ref="H5:H6" si="5">ROUND(AVERAGE(J16:M16)/AVERAGE(E16:H16), 1)</f>
        <v>1.8</v>
      </c>
      <c r="I5" s="17">
        <f t="shared" si="2"/>
        <v>16676</v>
      </c>
      <c r="J5" s="17">
        <f t="shared" si="3"/>
        <v>23984</v>
      </c>
      <c r="K5" s="17">
        <f t="shared" si="4"/>
        <v>-7308</v>
      </c>
      <c r="L5" s="18">
        <f t="shared" ref="L5:L6" si="6">ROUND(AVERAGE(T16:W16)/AVERAGE(O16:R16), 1)</f>
        <v>1.4</v>
      </c>
      <c r="M5" s="17">
        <f>ROUND(1/(AVERAGE(E16:H16)*AVERAGE(O16:R16)),4)</f>
        <v>0.002</v>
      </c>
      <c r="N5" s="17">
        <f t="shared" ref="N5:N6" si="7">ROUND(1/(AE16*AVERAGE(O16:R16)),5)</f>
        <v>0.00023</v>
      </c>
      <c r="O5" s="17">
        <f>ROUND(1/(AVERAGE(J16:M16)*AVERAGE(T16:W16)),5)</f>
        <v>0.00079</v>
      </c>
      <c r="P5" s="18">
        <f>ROUND((AVERAGE(J16:M16)*AVERAGE(T16:W16))/(AVERAGE(E16:H16)*AVERAGE(O16:R16)),1)</f>
        <v>2.6</v>
      </c>
    </row>
    <row r="6">
      <c r="A6" s="15"/>
      <c r="B6" s="20"/>
      <c r="C6" s="21" t="s">
        <v>15</v>
      </c>
      <c r="D6" s="22">
        <f>ROUND(AVERAGE(E17:H17),2)</f>
        <v>0.41</v>
      </c>
      <c r="E6" s="22">
        <f>ROUND(AE17, 2)</f>
        <v>0.38</v>
      </c>
      <c r="F6" s="22">
        <f t="shared" ref="F6:F7" si="8">ROUND(AVERAGE(J17:M17),2)</f>
        <v>2.78</v>
      </c>
      <c r="G6" s="22">
        <f>ROUND(AVERAGE(E17:H17)-AVERAGE(J17:M17),1)</f>
        <v>-2.4</v>
      </c>
      <c r="H6" s="23">
        <f t="shared" si="5"/>
        <v>6.9</v>
      </c>
      <c r="I6" s="22">
        <f t="shared" si="2"/>
        <v>19765</v>
      </c>
      <c r="J6" s="22">
        <f t="shared" si="3"/>
        <v>158411</v>
      </c>
      <c r="K6" s="22">
        <f t="shared" si="4"/>
        <v>-138646</v>
      </c>
      <c r="L6" s="23">
        <f t="shared" si="6"/>
        <v>8</v>
      </c>
      <c r="M6" s="22">
        <f>ROUND(1/(AVERAGE(E17:H17)*AVERAGE(O17:R17)),5)</f>
        <v>0.00012</v>
      </c>
      <c r="N6" s="22">
        <f t="shared" si="7"/>
        <v>0.00013</v>
      </c>
      <c r="O6" s="22">
        <f>ROUND(1/(AVERAGE(J17:M17)*AVERAGE(T17:W17)),7)</f>
        <v>0.0000023</v>
      </c>
      <c r="P6" s="23">
        <f>ROUND((AVERAGE(J17:M17)*AVERAGE(T17:W17))/(AVERAGE(E17:H17)*AVERAGE(O17:R17)),0)</f>
        <v>55</v>
      </c>
    </row>
    <row r="7">
      <c r="A7" s="15"/>
      <c r="B7" s="16" t="s">
        <v>16</v>
      </c>
      <c r="C7" s="16" t="s">
        <v>17</v>
      </c>
      <c r="D7" s="17">
        <f t="shared" ref="D7:D8" si="9">ROUND(AVERAGE(E18:H18),3)</f>
        <v>0.013</v>
      </c>
      <c r="E7" s="17">
        <f t="shared" ref="E7:E8" si="10">ROUND(AE18, 3)</f>
        <v>0.062</v>
      </c>
      <c r="F7" s="17">
        <f t="shared" si="8"/>
        <v>0.18</v>
      </c>
      <c r="G7" s="17">
        <f>ROUND(AVERAGE(E18:H18)-AVERAGE(J18:M18),2)</f>
        <v>-0.17</v>
      </c>
      <c r="H7" s="18">
        <f>ROUND(AVERAGE(J18:M18)/AVERAGE(E18:H18),0)</f>
        <v>15</v>
      </c>
      <c r="I7" s="17">
        <f t="shared" si="2"/>
        <v>2926</v>
      </c>
      <c r="J7" s="17">
        <f t="shared" si="3"/>
        <v>42106</v>
      </c>
      <c r="K7" s="17">
        <f t="shared" si="4"/>
        <v>-39180</v>
      </c>
      <c r="L7" s="18">
        <f>ROUND(AVERAGE(T18:W18)/AVERAGE(O18:R18),0)</f>
        <v>14</v>
      </c>
      <c r="M7" s="17">
        <f>ROUND(1/(AVERAGE(E18:H18)*AVERAGE(O18:R18)),3)</f>
        <v>0.027</v>
      </c>
      <c r="N7" s="17">
        <f>ROUND(1/(AE18*AVERAGE(O18:R18)),4)</f>
        <v>0.0055</v>
      </c>
      <c r="O7" s="17">
        <f>ROUND(1/(AVERAGE(J18:M18)*AVERAGE(T18:W18)),5)</f>
        <v>0.00013</v>
      </c>
      <c r="P7" s="18">
        <f>ROUND((AVERAGE(J18:M18)*AVERAGE(T18:W18))/(AVERAGE(E18:H18)*AVERAGE(O18:R18)),-1)</f>
        <v>210</v>
      </c>
    </row>
    <row r="8">
      <c r="A8" s="15"/>
      <c r="B8" s="19"/>
      <c r="C8" s="16" t="s">
        <v>18</v>
      </c>
      <c r="D8" s="17">
        <f t="shared" si="9"/>
        <v>0.024</v>
      </c>
      <c r="E8" s="17">
        <f t="shared" si="10"/>
        <v>0.083</v>
      </c>
      <c r="F8" s="17">
        <f>ROUND(AVERAGE(J19:M19),4)</f>
        <v>0.0092</v>
      </c>
      <c r="G8" s="17">
        <f>ROUND(AVERAGE(E19:H19)-AVERAGE(J19:M19),3)</f>
        <v>0.014</v>
      </c>
      <c r="H8" s="18">
        <f>ROUND(AVERAGE(J19:M19)/AVERAGE(E19:H19), 2)</f>
        <v>0.39</v>
      </c>
      <c r="I8" s="17">
        <f t="shared" si="2"/>
        <v>19230</v>
      </c>
      <c r="J8" s="17">
        <f t="shared" si="3"/>
        <v>8425</v>
      </c>
      <c r="K8" s="17">
        <f t="shared" si="4"/>
        <v>10805</v>
      </c>
      <c r="L8" s="18">
        <f>ROUND(AVERAGE(T19:W19)/AVERAGE(O19:R19), 2)</f>
        <v>0.44</v>
      </c>
      <c r="M8" s="17">
        <f>ROUND(1/(AVERAGE(E19:H19)*AVERAGE(O19:R19)),4)</f>
        <v>0.0022</v>
      </c>
      <c r="N8" s="17">
        <f>ROUND(1/(AE19*AVERAGE(O19:R19)),5)</f>
        <v>0.00063</v>
      </c>
      <c r="O8" s="17">
        <f>ROUND(1/(AVERAGE(J19:M19)*AVERAGE(T19:W19)),3)</f>
        <v>0.013</v>
      </c>
      <c r="P8" s="18">
        <f>ROUND((AVERAGE(J19:M19)*AVERAGE(T19:W19))/(AVERAGE(E19:H19)*AVERAGE(O19:R19)),2)</f>
        <v>0.17</v>
      </c>
    </row>
    <row r="9">
      <c r="A9" s="15"/>
      <c r="B9" s="11"/>
      <c r="C9" s="24" t="s">
        <v>19</v>
      </c>
      <c r="D9" s="25">
        <f>ROUND(AVERAGE(E20:H20),2)</f>
        <v>0.34</v>
      </c>
      <c r="E9" s="25">
        <f>ROUND(AE20, 1)</f>
        <v>1.1</v>
      </c>
      <c r="F9" s="25">
        <f>ROUND(AVERAGE(J20:M20),2)</f>
        <v>0.58</v>
      </c>
      <c r="G9" s="25">
        <f>ROUND(AVERAGE(E20:H20)-AVERAGE(J20:M20),2)</f>
        <v>-0.25</v>
      </c>
      <c r="H9" s="26">
        <f>ROUND(AVERAGE(J20:M20)/AVERAGE(E20:H20), 1)</f>
        <v>1.7</v>
      </c>
      <c r="I9" s="25">
        <f t="shared" si="2"/>
        <v>27212</v>
      </c>
      <c r="J9" s="25">
        <f t="shared" si="3"/>
        <v>33100</v>
      </c>
      <c r="K9" s="25">
        <f t="shared" si="4"/>
        <v>-5888</v>
      </c>
      <c r="L9" s="26">
        <f>ROUND(AVERAGE(T20:W20)/AVERAGE(O20:R20), 1)</f>
        <v>1.2</v>
      </c>
      <c r="M9" s="25">
        <f>ROUND(1/(AVERAGE(E20:H20)*AVERAGE(O20:R20)),5)</f>
        <v>0.00011</v>
      </c>
      <c r="N9" s="25">
        <f>ROUND(1/(AE20*AVERAGE(O20:R20)),6)</f>
        <v>0.000032</v>
      </c>
      <c r="O9" s="25">
        <f>ROUND(1/(AVERAGE(J20:M20)*AVERAGE(T20:W20)),6)</f>
        <v>0.000052</v>
      </c>
      <c r="P9" s="26">
        <f>ROUND((AVERAGE(J20:M20)*AVERAGE(T20:W20))/(AVERAGE(E20:H20)*AVERAGE(O20:R20)),1)</f>
        <v>2.1</v>
      </c>
    </row>
    <row r="11">
      <c r="A11" s="27" t="s">
        <v>20</v>
      </c>
    </row>
    <row r="12">
      <c r="A12" s="4"/>
      <c r="B12" s="5" t="s">
        <v>1</v>
      </c>
      <c r="C12" s="28" t="s">
        <v>2</v>
      </c>
      <c r="D12" s="8" t="s">
        <v>21</v>
      </c>
      <c r="E12" s="7"/>
      <c r="F12" s="7"/>
      <c r="G12" s="7"/>
      <c r="H12" s="7"/>
      <c r="I12" s="7"/>
      <c r="J12" s="7"/>
      <c r="K12" s="7"/>
      <c r="L12" s="7"/>
      <c r="M12" s="9"/>
      <c r="N12" s="8" t="s">
        <v>22</v>
      </c>
      <c r="O12" s="7"/>
      <c r="P12" s="7"/>
      <c r="Q12" s="7"/>
      <c r="R12" s="7"/>
      <c r="S12" s="7"/>
      <c r="T12" s="7"/>
      <c r="U12" s="7"/>
      <c r="V12" s="7"/>
      <c r="W12" s="9"/>
      <c r="X12" s="28" t="s">
        <v>23</v>
      </c>
      <c r="Y12" s="8" t="s">
        <v>24</v>
      </c>
      <c r="Z12" s="7"/>
      <c r="AA12" s="7"/>
      <c r="AB12" s="7"/>
      <c r="AC12" s="7"/>
      <c r="AD12" s="7"/>
      <c r="AE12" s="7"/>
      <c r="AF12" s="9"/>
    </row>
    <row r="13">
      <c r="A13" s="4"/>
      <c r="B13" s="19"/>
      <c r="C13" s="29"/>
      <c r="D13" s="30" t="s">
        <v>25</v>
      </c>
      <c r="H13" s="31"/>
      <c r="I13" s="32" t="s">
        <v>8</v>
      </c>
      <c r="M13" s="33"/>
      <c r="N13" s="30" t="s">
        <v>11</v>
      </c>
      <c r="R13" s="31"/>
      <c r="S13" s="32" t="s">
        <v>8</v>
      </c>
      <c r="W13" s="33"/>
      <c r="X13" s="29"/>
      <c r="Y13" s="30" t="s">
        <v>26</v>
      </c>
      <c r="AD13" s="31"/>
      <c r="AE13" s="34" t="s">
        <v>27</v>
      </c>
      <c r="AF13" s="35"/>
    </row>
    <row r="14">
      <c r="A14" s="4"/>
      <c r="B14" s="11"/>
      <c r="C14" s="36"/>
      <c r="D14" s="37" t="s">
        <v>28</v>
      </c>
      <c r="E14" s="38" t="s">
        <v>29</v>
      </c>
      <c r="F14" s="38" t="s">
        <v>30</v>
      </c>
      <c r="G14" s="38" t="s">
        <v>31</v>
      </c>
      <c r="H14" s="39" t="s">
        <v>32</v>
      </c>
      <c r="I14" s="38" t="s">
        <v>28</v>
      </c>
      <c r="J14" s="38" t="s">
        <v>29</v>
      </c>
      <c r="K14" s="38" t="s">
        <v>30</v>
      </c>
      <c r="L14" s="38" t="s">
        <v>31</v>
      </c>
      <c r="M14" s="40" t="s">
        <v>32</v>
      </c>
      <c r="N14" s="37" t="s">
        <v>28</v>
      </c>
      <c r="O14" s="38" t="s">
        <v>29</v>
      </c>
      <c r="P14" s="38" t="s">
        <v>30</v>
      </c>
      <c r="Q14" s="38" t="s">
        <v>31</v>
      </c>
      <c r="R14" s="39" t="s">
        <v>32</v>
      </c>
      <c r="S14" s="38" t="s">
        <v>28</v>
      </c>
      <c r="T14" s="38" t="s">
        <v>29</v>
      </c>
      <c r="U14" s="38" t="s">
        <v>30</v>
      </c>
      <c r="V14" s="38" t="s">
        <v>31</v>
      </c>
      <c r="W14" s="40" t="s">
        <v>32</v>
      </c>
      <c r="X14" s="36"/>
      <c r="Y14" s="37" t="s">
        <v>28</v>
      </c>
      <c r="Z14" s="38" t="s">
        <v>29</v>
      </c>
      <c r="AA14" s="38" t="s">
        <v>30</v>
      </c>
      <c r="AB14" s="38" t="s">
        <v>31</v>
      </c>
      <c r="AC14" s="38" t="s">
        <v>32</v>
      </c>
      <c r="AD14" s="39" t="s">
        <v>33</v>
      </c>
      <c r="AE14" s="41" t="s">
        <v>21</v>
      </c>
      <c r="AF14" s="14" t="s">
        <v>34</v>
      </c>
    </row>
    <row r="15">
      <c r="A15" s="15"/>
      <c r="B15" s="16" t="s">
        <v>12</v>
      </c>
      <c r="C15" s="16" t="s">
        <v>13</v>
      </c>
      <c r="D15" s="42">
        <v>0.00184068916666666</v>
      </c>
      <c r="E15" s="15">
        <v>8.99781666666666E-4</v>
      </c>
      <c r="F15" s="15">
        <v>0.00109345416666666</v>
      </c>
      <c r="G15" s="15">
        <v>9.76508333333333E-4</v>
      </c>
      <c r="H15" s="43">
        <v>8.96664999999999E-4</v>
      </c>
      <c r="I15" s="17">
        <f t="shared" ref="I15:I20" si="11"> S15 * X15 * 0.494 / (60 * 60 * 1000)</f>
        <v>0.0005697466667</v>
      </c>
      <c r="J15" s="17">
        <f t="shared" ref="J15:J20" si="12"> T15 * X15 * 0.494 / (60 * 60 * 1000)</f>
        <v>0.00007464888889</v>
      </c>
      <c r="K15" s="17">
        <f t="shared" ref="K15:K20" si="13"> U15 * X15 * 0.494 / (60 * 60 * 1000)</f>
        <v>0.00007574666667</v>
      </c>
      <c r="L15" s="17">
        <f t="shared" ref="L15:L20" si="14"> V15 * X15 * 0.494 / (60 * 60 * 1000)</f>
        <v>0.00007794222222</v>
      </c>
      <c r="M15" s="17">
        <f t="shared" ref="M15:M20" si="15"> W15 * X15 * 0.494 / (60 * 60 * 1000)</f>
        <v>0.00007135555556</v>
      </c>
      <c r="N15" s="42">
        <v>905.0</v>
      </c>
      <c r="O15" s="15">
        <v>414.0</v>
      </c>
      <c r="P15" s="15">
        <v>477.0</v>
      </c>
      <c r="Q15" s="15">
        <v>412.0</v>
      </c>
      <c r="R15" s="43">
        <v>395.0</v>
      </c>
      <c r="S15" s="15">
        <v>519.0</v>
      </c>
      <c r="T15" s="15">
        <v>68.0</v>
      </c>
      <c r="U15" s="15">
        <v>69.0</v>
      </c>
      <c r="V15" s="15">
        <v>71.0</v>
      </c>
      <c r="W15" s="44">
        <v>65.0</v>
      </c>
      <c r="X15" s="42">
        <v>8.0</v>
      </c>
      <c r="Y15" s="42">
        <v>143.570165745856</v>
      </c>
      <c r="Z15" s="15">
        <v>153.415458937198</v>
      </c>
      <c r="AA15" s="15">
        <v>161.813417190775</v>
      </c>
      <c r="AB15" s="15">
        <v>167.305825242718</v>
      </c>
      <c r="AC15" s="15">
        <v>160.237974683544</v>
      </c>
      <c r="AD15" s="43">
        <f t="shared" ref="AD15:AD20" si="16">ROUND(AVERAGE(Z15:AC15), 0)</f>
        <v>161</v>
      </c>
      <c r="AE15" s="43">
        <v>0.0115513801574707</v>
      </c>
      <c r="AF15" s="44">
        <v>0.00154018402099609</v>
      </c>
    </row>
    <row r="16">
      <c r="A16" s="15"/>
      <c r="B16" s="19"/>
      <c r="C16" s="16" t="s">
        <v>14</v>
      </c>
      <c r="D16" s="42">
        <v>0.0323100583333333</v>
      </c>
      <c r="E16" s="15">
        <v>0.0288885674999999</v>
      </c>
      <c r="F16" s="15">
        <v>0.0326351125</v>
      </c>
      <c r="G16" s="15">
        <v>0.02603295</v>
      </c>
      <c r="H16" s="43">
        <v>0.0301279383333333</v>
      </c>
      <c r="I16" s="17">
        <f t="shared" si="11"/>
        <v>0.09645514667</v>
      </c>
      <c r="J16" s="17">
        <f t="shared" si="12"/>
        <v>0.03858030222</v>
      </c>
      <c r="K16" s="17">
        <f t="shared" si="13"/>
        <v>0.05359790222</v>
      </c>
      <c r="L16" s="17">
        <f t="shared" si="14"/>
        <v>0.06657583111</v>
      </c>
      <c r="M16" s="17">
        <f t="shared" si="15"/>
        <v>0.05188097778</v>
      </c>
      <c r="N16" s="42">
        <v>16088.0</v>
      </c>
      <c r="O16" s="15">
        <v>17667.0</v>
      </c>
      <c r="P16" s="15">
        <v>15709.0</v>
      </c>
      <c r="Q16" s="15">
        <v>14898.0</v>
      </c>
      <c r="R16" s="43">
        <v>18430.0</v>
      </c>
      <c r="S16" s="15">
        <v>43932.0</v>
      </c>
      <c r="T16" s="15">
        <v>17572.0</v>
      </c>
      <c r="U16" s="15">
        <v>24412.0</v>
      </c>
      <c r="V16" s="15">
        <v>30323.0</v>
      </c>
      <c r="W16" s="44">
        <v>23630.0</v>
      </c>
      <c r="X16" s="42">
        <v>16.0</v>
      </c>
      <c r="Y16" s="42">
        <v>141.764669318746</v>
      </c>
      <c r="Z16" s="15">
        <v>115.423841059602</v>
      </c>
      <c r="AA16" s="15">
        <v>146.64555350436</v>
      </c>
      <c r="AB16" s="15">
        <v>123.346757954087</v>
      </c>
      <c r="AC16" s="15">
        <v>115.392186652197</v>
      </c>
      <c r="AD16" s="43">
        <f t="shared" si="16"/>
        <v>125</v>
      </c>
      <c r="AE16" s="43">
        <v>0.259881019592285</v>
      </c>
      <c r="AF16" s="44">
        <v>0.0346508026123046</v>
      </c>
    </row>
    <row r="17">
      <c r="A17" s="15"/>
      <c r="B17" s="20"/>
      <c r="C17" s="21" t="s">
        <v>15</v>
      </c>
      <c r="D17" s="45">
        <v>0.364304815</v>
      </c>
      <c r="E17" s="46">
        <v>0.440542009166666</v>
      </c>
      <c r="F17" s="46">
        <v>0.402665470833333</v>
      </c>
      <c r="G17" s="46">
        <v>0.402537276666666</v>
      </c>
      <c r="H17" s="47">
        <v>0.377861110833333</v>
      </c>
      <c r="I17" s="22">
        <f t="shared" si="11"/>
        <v>2.826997333</v>
      </c>
      <c r="J17" s="22">
        <f t="shared" si="12"/>
        <v>2.793466809</v>
      </c>
      <c r="K17" s="22">
        <f t="shared" si="13"/>
        <v>2.76608384</v>
      </c>
      <c r="L17" s="22">
        <f t="shared" si="14"/>
        <v>2.784561636</v>
      </c>
      <c r="M17" s="22">
        <f t="shared" si="15"/>
        <v>2.785457422</v>
      </c>
      <c r="N17" s="45">
        <v>19028.0</v>
      </c>
      <c r="O17" s="46">
        <v>19253.0</v>
      </c>
      <c r="P17" s="46">
        <v>17839.0</v>
      </c>
      <c r="Q17" s="46">
        <v>21265.0</v>
      </c>
      <c r="R17" s="47">
        <v>20703.0</v>
      </c>
      <c r="S17" s="46">
        <v>160950.0</v>
      </c>
      <c r="T17" s="46">
        <v>159041.0</v>
      </c>
      <c r="U17" s="46">
        <v>157482.0</v>
      </c>
      <c r="V17" s="46">
        <v>158534.0</v>
      </c>
      <c r="W17" s="48">
        <v>158585.0</v>
      </c>
      <c r="X17" s="45">
        <v>128.0</v>
      </c>
      <c r="Y17" s="45">
        <v>1351.46279167542</v>
      </c>
      <c r="Z17" s="46">
        <v>1615.18116657144</v>
      </c>
      <c r="AA17" s="46">
        <v>1593.33174505297</v>
      </c>
      <c r="AB17" s="46">
        <v>1336.20484363978</v>
      </c>
      <c r="AC17" s="46">
        <v>1288.34222093416</v>
      </c>
      <c r="AD17" s="47">
        <f t="shared" si="16"/>
        <v>1458</v>
      </c>
      <c r="AE17" s="47">
        <v>0.384242534637451</v>
      </c>
      <c r="AF17" s="48">
        <v>0.0512323379516601</v>
      </c>
    </row>
    <row r="18">
      <c r="A18" s="15"/>
      <c r="B18" s="16" t="s">
        <v>16</v>
      </c>
      <c r="C18" s="16" t="s">
        <v>17</v>
      </c>
      <c r="D18" s="42">
        <v>0.0124378233333333</v>
      </c>
      <c r="E18" s="15">
        <v>0.0128337108333333</v>
      </c>
      <c r="F18" s="15">
        <v>0.0126532416666666</v>
      </c>
      <c r="G18" s="15">
        <v>0.0120003425</v>
      </c>
      <c r="H18" s="43">
        <v>0.0131339733333333</v>
      </c>
      <c r="I18" s="17">
        <f t="shared" si="11"/>
        <v>0.1973936178</v>
      </c>
      <c r="J18" s="17">
        <f t="shared" si="12"/>
        <v>0.1819193422</v>
      </c>
      <c r="K18" s="17">
        <f t="shared" si="13"/>
        <v>0.1869954667</v>
      </c>
      <c r="L18" s="17">
        <f t="shared" si="14"/>
        <v>0.1748628267</v>
      </c>
      <c r="M18" s="17">
        <f t="shared" si="15"/>
        <v>0.1957864711</v>
      </c>
      <c r="N18" s="42">
        <v>2326.0</v>
      </c>
      <c r="O18" s="15">
        <v>3210.0</v>
      </c>
      <c r="P18" s="15">
        <v>3081.0</v>
      </c>
      <c r="Q18" s="15">
        <v>2589.0</v>
      </c>
      <c r="R18" s="43">
        <v>2824.0</v>
      </c>
      <c r="S18" s="15">
        <v>44953.0</v>
      </c>
      <c r="T18" s="15">
        <v>41429.0</v>
      </c>
      <c r="U18" s="15">
        <v>42585.0</v>
      </c>
      <c r="V18" s="15">
        <v>39822.0</v>
      </c>
      <c r="W18" s="44">
        <v>44587.0</v>
      </c>
      <c r="X18" s="42">
        <v>32.0</v>
      </c>
      <c r="Y18" s="42">
        <v>377.456577815993</v>
      </c>
      <c r="Z18" s="15">
        <v>282.214641744548</v>
      </c>
      <c r="AA18" s="15">
        <v>289.896137617656</v>
      </c>
      <c r="AB18" s="15">
        <v>327.18539976825</v>
      </c>
      <c r="AC18" s="15">
        <v>328.294617563739</v>
      </c>
      <c r="AD18" s="43">
        <f t="shared" si="16"/>
        <v>307</v>
      </c>
      <c r="AE18" s="43">
        <v>0.0623846054077148</v>
      </c>
      <c r="AF18" s="44">
        <v>0.00831794738769531</v>
      </c>
    </row>
    <row r="19">
      <c r="A19" s="15"/>
      <c r="B19" s="19"/>
      <c r="C19" s="16" t="s">
        <v>18</v>
      </c>
      <c r="D19" s="42">
        <v>0.0291498149999999</v>
      </c>
      <c r="E19" s="15">
        <v>0.0245408741666666</v>
      </c>
      <c r="F19" s="15">
        <v>0.023935745</v>
      </c>
      <c r="G19" s="15">
        <v>0.0233294116666666</v>
      </c>
      <c r="H19" s="43">
        <v>0.0228625916666666</v>
      </c>
      <c r="I19" s="17">
        <f t="shared" si="11"/>
        <v>0.01031911111</v>
      </c>
      <c r="J19" s="17">
        <f t="shared" si="12"/>
        <v>0.009111555556</v>
      </c>
      <c r="K19" s="17">
        <f t="shared" si="13"/>
        <v>0.009331111111</v>
      </c>
      <c r="L19" s="17">
        <f t="shared" si="14"/>
        <v>0.009221333333</v>
      </c>
      <c r="M19" s="17">
        <f t="shared" si="15"/>
        <v>0.009331111111</v>
      </c>
      <c r="N19" s="42">
        <v>19810.0</v>
      </c>
      <c r="O19" s="15">
        <v>17866.0</v>
      </c>
      <c r="P19" s="15">
        <v>22028.0</v>
      </c>
      <c r="Q19" s="15">
        <v>18710.0</v>
      </c>
      <c r="R19" s="43">
        <v>18317.0</v>
      </c>
      <c r="S19" s="15">
        <v>9400.0</v>
      </c>
      <c r="T19" s="15">
        <v>8300.0</v>
      </c>
      <c r="U19" s="15">
        <v>8500.0</v>
      </c>
      <c r="V19" s="15">
        <v>8400.0</v>
      </c>
      <c r="W19" s="44">
        <v>8500.0</v>
      </c>
      <c r="X19" s="42">
        <v>8.0</v>
      </c>
      <c r="Y19" s="42">
        <v>103.868450277637</v>
      </c>
      <c r="Z19" s="15">
        <v>96.9605395723721</v>
      </c>
      <c r="AA19" s="15">
        <v>76.7015616488106</v>
      </c>
      <c r="AB19" s="15">
        <v>88.0161411010155</v>
      </c>
      <c r="AC19" s="15">
        <v>88.1055849757056</v>
      </c>
      <c r="AD19" s="43">
        <f t="shared" si="16"/>
        <v>87</v>
      </c>
      <c r="AE19" s="43">
        <v>0.0828051567077636</v>
      </c>
      <c r="AF19" s="44">
        <v>0.0110406875610351</v>
      </c>
    </row>
    <row r="20">
      <c r="A20" s="15"/>
      <c r="B20" s="11"/>
      <c r="C20" s="24" t="s">
        <v>19</v>
      </c>
      <c r="D20" s="49">
        <v>0.269112365833333</v>
      </c>
      <c r="E20" s="50">
        <v>0.355894433333333</v>
      </c>
      <c r="F20" s="50">
        <v>0.332103315833333</v>
      </c>
      <c r="G20" s="50">
        <v>0.321976869166666</v>
      </c>
      <c r="H20" s="51">
        <v>0.333766114166666</v>
      </c>
      <c r="I20" s="25">
        <f t="shared" si="11"/>
        <v>0.6252942222</v>
      </c>
      <c r="J20" s="25">
        <f t="shared" si="12"/>
        <v>0.6059733333</v>
      </c>
      <c r="K20" s="25">
        <f t="shared" si="13"/>
        <v>0.6024604444</v>
      </c>
      <c r="L20" s="25">
        <f t="shared" si="14"/>
        <v>0.5462542222</v>
      </c>
      <c r="M20" s="25">
        <f t="shared" si="15"/>
        <v>0.5708444444</v>
      </c>
      <c r="N20" s="49">
        <v>22172.0</v>
      </c>
      <c r="O20" s="50">
        <v>26884.0</v>
      </c>
      <c r="P20" s="50">
        <v>26494.0</v>
      </c>
      <c r="Q20" s="50">
        <v>28047.0</v>
      </c>
      <c r="R20" s="51">
        <v>27424.0</v>
      </c>
      <c r="S20" s="50">
        <v>35600.0</v>
      </c>
      <c r="T20" s="50">
        <v>34500.0</v>
      </c>
      <c r="U20" s="50">
        <v>34300.0</v>
      </c>
      <c r="V20" s="50">
        <v>31100.0</v>
      </c>
      <c r="W20" s="52">
        <v>32500.0</v>
      </c>
      <c r="X20" s="49">
        <v>128.0</v>
      </c>
      <c r="Y20" s="49">
        <v>856.763801190691</v>
      </c>
      <c r="Z20" s="50">
        <v>934.457669989584</v>
      </c>
      <c r="AA20" s="50">
        <v>884.826262550011</v>
      </c>
      <c r="AB20" s="50">
        <v>810.346168930723</v>
      </c>
      <c r="AC20" s="50">
        <v>859.100094807467</v>
      </c>
      <c r="AD20" s="51">
        <f t="shared" si="16"/>
        <v>872</v>
      </c>
      <c r="AE20" s="51">
        <v>1.13556146621704</v>
      </c>
      <c r="AF20" s="52">
        <v>0.151408195495605</v>
      </c>
    </row>
    <row r="22">
      <c r="A22" s="27" t="s">
        <v>35</v>
      </c>
    </row>
    <row r="23">
      <c r="A23" s="27"/>
      <c r="B23" s="53" t="s">
        <v>36</v>
      </c>
      <c r="C23" s="54" t="s">
        <v>37</v>
      </c>
      <c r="D23" s="55"/>
      <c r="E23" s="56" t="s">
        <v>38</v>
      </c>
      <c r="F23" s="55"/>
      <c r="G23" s="57" t="s">
        <v>39</v>
      </c>
      <c r="H23" s="58"/>
      <c r="I23" s="55"/>
    </row>
    <row r="24">
      <c r="A24" s="27"/>
      <c r="B24" s="16" t="s">
        <v>6</v>
      </c>
      <c r="C24" s="15" t="s">
        <v>40</v>
      </c>
      <c r="D24" s="33"/>
      <c r="E24" s="59" t="s">
        <v>41</v>
      </c>
      <c r="F24" s="33"/>
      <c r="G24" s="60" t="s">
        <v>42</v>
      </c>
      <c r="I24" s="33"/>
    </row>
    <row r="25">
      <c r="A25" s="27"/>
      <c r="B25" s="61" t="s">
        <v>43</v>
      </c>
      <c r="C25" s="62" t="s">
        <v>44</v>
      </c>
      <c r="D25" s="63"/>
      <c r="E25" s="64" t="s">
        <v>41</v>
      </c>
      <c r="F25" s="63"/>
      <c r="G25" s="65" t="s">
        <v>45</v>
      </c>
      <c r="H25" s="66"/>
      <c r="I25" s="63"/>
    </row>
    <row r="26">
      <c r="A26" s="27"/>
      <c r="B26" s="24" t="s">
        <v>8</v>
      </c>
      <c r="C26" s="50" t="s">
        <v>46</v>
      </c>
      <c r="D26" s="67"/>
      <c r="E26" s="68" t="s">
        <v>47</v>
      </c>
      <c r="F26" s="67"/>
      <c r="G26" s="69" t="s">
        <v>48</v>
      </c>
      <c r="H26" s="70"/>
      <c r="I26" s="67"/>
      <c r="J26" s="15" t="s">
        <v>49</v>
      </c>
    </row>
    <row r="27">
      <c r="A27" s="27"/>
    </row>
    <row r="28">
      <c r="A28" s="27" t="s">
        <v>50</v>
      </c>
    </row>
    <row r="29">
      <c r="B29" s="15" t="s">
        <v>51</v>
      </c>
    </row>
    <row r="30">
      <c r="B30" s="15" t="s">
        <v>52</v>
      </c>
    </row>
    <row r="31">
      <c r="B31" s="71" t="s">
        <v>53</v>
      </c>
    </row>
    <row r="32">
      <c r="B32" s="15" t="s">
        <v>54</v>
      </c>
    </row>
    <row r="33">
      <c r="B33" s="15" t="s">
        <v>55</v>
      </c>
    </row>
    <row r="34">
      <c r="B34" s="15" t="s">
        <v>56</v>
      </c>
    </row>
    <row r="35">
      <c r="B35" s="15" t="s">
        <v>57</v>
      </c>
    </row>
    <row r="36">
      <c r="B36" s="15" t="s">
        <v>58</v>
      </c>
    </row>
    <row r="37">
      <c r="B37" s="15" t="s">
        <v>59</v>
      </c>
    </row>
    <row r="38">
      <c r="B38" s="15" t="s">
        <v>60</v>
      </c>
    </row>
    <row r="40">
      <c r="A40" s="27" t="s">
        <v>61</v>
      </c>
    </row>
    <row r="41">
      <c r="B41" s="72" t="s">
        <v>62</v>
      </c>
    </row>
    <row r="42">
      <c r="B42" s="15" t="s">
        <v>63</v>
      </c>
    </row>
    <row r="43">
      <c r="B43" s="15" t="s">
        <v>64</v>
      </c>
    </row>
    <row r="44">
      <c r="B44" s="15" t="s">
        <v>65</v>
      </c>
    </row>
    <row r="45">
      <c r="B45" s="15" t="s">
        <v>66</v>
      </c>
    </row>
  </sheetData>
  <mergeCells count="33">
    <mergeCell ref="B2:B3"/>
    <mergeCell ref="C2:C3"/>
    <mergeCell ref="D2:H2"/>
    <mergeCell ref="I2:L2"/>
    <mergeCell ref="M2:P2"/>
    <mergeCell ref="B4:B6"/>
    <mergeCell ref="B7:B9"/>
    <mergeCell ref="S13:W13"/>
    <mergeCell ref="Y13:AD13"/>
    <mergeCell ref="B12:B14"/>
    <mergeCell ref="C12:C14"/>
    <mergeCell ref="D12:M12"/>
    <mergeCell ref="N12:W12"/>
    <mergeCell ref="X12:X14"/>
    <mergeCell ref="Y12:AF12"/>
    <mergeCell ref="D13:H13"/>
    <mergeCell ref="AE13:AF13"/>
    <mergeCell ref="I13:M13"/>
    <mergeCell ref="N13:R13"/>
    <mergeCell ref="B15:B17"/>
    <mergeCell ref="B18:B20"/>
    <mergeCell ref="C23:D23"/>
    <mergeCell ref="E23:F23"/>
    <mergeCell ref="G23:I23"/>
    <mergeCell ref="E26:F26"/>
    <mergeCell ref="G26:I26"/>
    <mergeCell ref="C24:D24"/>
    <mergeCell ref="E24:F24"/>
    <mergeCell ref="G24:I24"/>
    <mergeCell ref="C25:D25"/>
    <mergeCell ref="E25:F25"/>
    <mergeCell ref="G25:I25"/>
    <mergeCell ref="C26:D26"/>
  </mergeCells>
  <conditionalFormatting sqref="D1:G2 H2 M2:Q2">
    <cfRule type="notContainsBlanks" dxfId="0" priority="1">
      <formula>LEN(TRIM(D1))&gt;0</formula>
    </cfRule>
  </conditionalFormatting>
  <conditionalFormatting sqref="G4:G9 K4:K9">
    <cfRule type="cellIs" dxfId="1" priority="2" operator="greaterThan">
      <formula>0</formula>
    </cfRule>
  </conditionalFormatting>
  <conditionalFormatting sqref="G4:G9">
    <cfRule type="cellIs" dxfId="2" priority="3" operator="lessThan">
      <formula>0</formula>
    </cfRule>
  </conditionalFormatting>
  <conditionalFormatting sqref="H4:H9 L4:L9 P4:P9">
    <cfRule type="cellIs" dxfId="2" priority="4" operator="greaterThan">
      <formula>1</formula>
    </cfRule>
  </conditionalFormatting>
  <conditionalFormatting sqref="H4:H9 L4:L9 P4:P9">
    <cfRule type="cellIs" dxfId="1" priority="5" operator="lessThan">
      <formula>1</formula>
    </cfRule>
  </conditionalFormatting>
  <conditionalFormatting sqref="K4:K9">
    <cfRule type="cellIs" dxfId="2" priority="6" operator="lessThan">
      <formula>0</formula>
    </cfRule>
  </conditionalFormatting>
  <hyperlinks>
    <hyperlink r:id="rId1" ref="E24"/>
    <hyperlink r:id="rId2" ref="E25"/>
    <hyperlink r:id="rId3" ref="E26"/>
    <hyperlink r:id="rId4" ref="B41"/>
  </hyperlinks>
  <drawing r:id="rId5"/>
</worksheet>
</file>